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mysoas.sharepoint.com/sites/HRServicesLeadership/Shared Documents/General/"/>
    </mc:Choice>
  </mc:AlternateContent>
  <xr:revisionPtr revIDLastSave="2" documentId="13_ncr:1_{C41F0EFF-559B-4264-BB76-FFCB84341805}" xr6:coauthVersionLast="47" xr6:coauthVersionMax="47" xr10:uidLastSave="{6BD9A26E-F3E4-4014-B642-292CE8B9EFD2}"/>
  <bookViews>
    <workbookView xWindow="-110" yWindow="-110" windowWidth="19420" windowHeight="10300" xr2:uid="{00000000-000D-0000-FFFF-FFFF00000000}"/>
  </bookViews>
  <sheets>
    <sheet name="Visa Loan Schem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Q16" i="1"/>
  <c r="N48" i="1" l="1"/>
  <c r="U48" i="1"/>
  <c r="N49" i="1"/>
  <c r="S49" i="1"/>
  <c r="U49" i="1" s="1"/>
  <c r="N50" i="1"/>
  <c r="S50" i="1"/>
  <c r="U50" i="1" s="1"/>
  <c r="H52" i="1" l="1"/>
  <c r="H51" i="1"/>
  <c r="I6" i="1"/>
  <c r="I8" i="1" l="1"/>
  <c r="K45" i="1" l="1"/>
  <c r="O45" i="1" s="1"/>
  <c r="I10" i="1"/>
  <c r="I11" i="1" s="1"/>
  <c r="J52" i="1"/>
  <c r="C52" i="1"/>
  <c r="J51" i="1"/>
  <c r="C51" i="1"/>
  <c r="H50" i="1"/>
  <c r="J50" i="1" s="1"/>
  <c r="C50" i="1"/>
  <c r="J49" i="1"/>
  <c r="C49" i="1"/>
  <c r="D45" i="1" l="1"/>
  <c r="E49" i="1" s="1"/>
  <c r="P48" i="1"/>
  <c r="O48" i="1"/>
  <c r="D49" i="1"/>
  <c r="O49" i="1" l="1"/>
  <c r="P49" i="1"/>
  <c r="E50" i="1"/>
  <c r="D50" i="1"/>
  <c r="O50" i="1" l="1"/>
  <c r="O52" i="1" s="1"/>
  <c r="O54" i="1" s="1"/>
  <c r="P50" i="1"/>
  <c r="E51" i="1"/>
  <c r="D51" i="1"/>
  <c r="D52" i="1" l="1"/>
  <c r="D54" i="1" s="1"/>
  <c r="Q5" i="1" s="1"/>
  <c r="E52" i="1"/>
  <c r="Q6" i="1" l="1"/>
  <c r="Q18" i="1" l="1"/>
  <c r="Q24" i="1"/>
  <c r="Q26" i="1" s="1"/>
  <c r="Q7" i="1"/>
</calcChain>
</file>

<file path=xl/sharedStrings.xml><?xml version="1.0" encoding="utf-8"?>
<sst xmlns="http://schemas.openxmlformats.org/spreadsheetml/2006/main" count="42" uniqueCount="36">
  <si>
    <t>Applicant's gross monthly salary:</t>
  </si>
  <si>
    <t>Applicant's net monthly pay:</t>
  </si>
  <si>
    <t>Gross monthly deductions:</t>
  </si>
  <si>
    <t>Salary after gross deductions:</t>
  </si>
  <si>
    <t>Taxable Income</t>
  </si>
  <si>
    <t>Personal Allowance</t>
  </si>
  <si>
    <t>Tax</t>
  </si>
  <si>
    <t>Carry Over</t>
  </si>
  <si>
    <t>Rate</t>
  </si>
  <si>
    <t>Start of Band</t>
  </si>
  <si>
    <t>End of Band</t>
  </si>
  <si>
    <t>Difference</t>
  </si>
  <si>
    <t>Total Income Tax</t>
  </si>
  <si>
    <t>Weekly Income (Gross)</t>
  </si>
  <si>
    <t>State Pension Age</t>
  </si>
  <si>
    <t xml:space="preserve"> years</t>
  </si>
  <si>
    <t>Total Weekly NI</t>
  </si>
  <si>
    <t>Total Annual NI</t>
  </si>
  <si>
    <t>Tax and National Insurance deductions:</t>
  </si>
  <si>
    <t>USS Pension deduction applicable?</t>
  </si>
  <si>
    <t>Applicant's net annual pay:</t>
  </si>
  <si>
    <t>Applicant basic annual employment income (gross):</t>
  </si>
  <si>
    <t>USS Pension monthly payment</t>
  </si>
  <si>
    <t>Annual USS contribution</t>
  </si>
  <si>
    <t>NI</t>
  </si>
  <si>
    <t>Visa Loan Scheme Calculator</t>
  </si>
  <si>
    <t>For visa fees of up to £3,000</t>
  </si>
  <si>
    <t>For visa fees of £3,000 up to £8,000</t>
  </si>
  <si>
    <t xml:space="preserve">ESTIMATED MONTHLY REPAYMENT </t>
  </si>
  <si>
    <t>MAXIMUM VALUE OF UNIVERSITY LOAN</t>
  </si>
  <si>
    <t xml:space="preserve">MAXIMUM VALUE OF UNIVERSITY LOAN </t>
  </si>
  <si>
    <t xml:space="preserve">PREFERRED LOAN VALUE </t>
  </si>
  <si>
    <t>Y</t>
  </si>
  <si>
    <t>Other Existing University Schemes e.g.                                                             student loan, childcare vouchers, travel to work etc.*</t>
  </si>
  <si>
    <t>ADJUSTED NET PAY</t>
  </si>
  <si>
    <t>The calculations that are conducted on this spreadsheet are to be used for guideline purposes only. They provide a quick method to determine if individuals on the standard tax code (1185L) will have sufficient net income from the School employment to qualify for a loan. It is your responsibility to allow for any other expected salary deductions, for example, those relating to student loans.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</si>
</sst>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£-809]#,##0.00;[Red]\-[$£-809]#,##0.0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name val="Luxi Sans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64" fontId="0" fillId="0" borderId="0" xfId="0" applyNumberFormat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9" fillId="0" borderId="0" xfId="0" applyFont="1"/>
    <xf numFmtId="165" fontId="9" fillId="0" borderId="0" xfId="0" applyNumberFormat="1" applyFont="1"/>
    <xf numFmtId="0" fontId="10" fillId="0" borderId="0" xfId="0" applyFont="1"/>
    <xf numFmtId="0" fontId="10" fillId="3" borderId="0" xfId="0" applyFont="1" applyFill="1"/>
    <xf numFmtId="165" fontId="10" fillId="0" borderId="0" xfId="0" applyNumberFormat="1" applyFont="1"/>
    <xf numFmtId="0" fontId="11" fillId="0" borderId="0" xfId="0" applyFont="1"/>
    <xf numFmtId="0" fontId="12" fillId="0" borderId="0" xfId="0" applyFont="1"/>
    <xf numFmtId="0" fontId="10" fillId="0" borderId="0" xfId="0" applyNumberFormat="1" applyFont="1"/>
    <xf numFmtId="10" fontId="10" fillId="4" borderId="0" xfId="0" applyNumberFormat="1" applyFont="1" applyFill="1" applyProtection="1">
      <protection locked="0"/>
    </xf>
    <xf numFmtId="165" fontId="10" fillId="4" borderId="0" xfId="0" applyNumberFormat="1" applyFont="1" applyFill="1" applyProtection="1">
      <protection locked="0"/>
    </xf>
    <xf numFmtId="165" fontId="13" fillId="4" borderId="0" xfId="0" applyNumberFormat="1" applyFont="1" applyFill="1" applyProtection="1">
      <protection locked="0"/>
    </xf>
    <xf numFmtId="0" fontId="9" fillId="0" borderId="0" xfId="0" applyFont="1" applyAlignment="1">
      <alignment wrapText="1"/>
    </xf>
    <xf numFmtId="0" fontId="10" fillId="4" borderId="0" xfId="0" applyNumberFormat="1" applyFont="1" applyFill="1" applyProtection="1">
      <protection locked="0"/>
    </xf>
    <xf numFmtId="0" fontId="14" fillId="0" borderId="0" xfId="0" applyFont="1"/>
    <xf numFmtId="165" fontId="16" fillId="0" borderId="0" xfId="0" applyNumberFormat="1" applyFont="1"/>
    <xf numFmtId="165" fontId="17" fillId="4" borderId="0" xfId="0" applyNumberFormat="1" applyFont="1" applyFill="1" applyProtection="1">
      <protection locked="0"/>
    </xf>
    <xf numFmtId="0" fontId="17" fillId="0" borderId="0" xfId="0" applyFont="1"/>
    <xf numFmtId="165" fontId="15" fillId="0" borderId="0" xfId="0" applyNumberFormat="1" applyFont="1"/>
    <xf numFmtId="0" fontId="10" fillId="0" borderId="0" xfId="0" applyFont="1" applyAlignment="1">
      <alignment wrapText="1"/>
    </xf>
    <xf numFmtId="0" fontId="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hidden="1"/>
    </xf>
    <xf numFmtId="164" fontId="8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 applyProtection="1">
      <alignment horizontal="center"/>
      <protection hidden="1"/>
    </xf>
    <xf numFmtId="165" fontId="11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hidden="1"/>
    </xf>
    <xf numFmtId="164" fontId="10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0" fillId="2" borderId="0" xfId="0" applyNumberFormat="1" applyFont="1" applyFill="1" applyBorder="1" applyAlignment="1"/>
    <xf numFmtId="0" fontId="19" fillId="0" borderId="0" xfId="0" applyFont="1"/>
    <xf numFmtId="164" fontId="0" fillId="0" borderId="3" xfId="0" applyNumberFormat="1" applyBorder="1"/>
    <xf numFmtId="0" fontId="19" fillId="0" borderId="0" xfId="0" applyFont="1" applyBorder="1" applyAlignment="1">
      <alignment horizontal="left"/>
    </xf>
    <xf numFmtId="164" fontId="0" fillId="0" borderId="0" xfId="0" applyNumberFormat="1" applyFill="1" applyBorder="1"/>
    <xf numFmtId="164" fontId="22" fillId="5" borderId="3" xfId="0" applyNumberFormat="1" applyFont="1" applyFill="1" applyBorder="1"/>
    <xf numFmtId="0" fontId="23" fillId="0" borderId="0" xfId="0" applyFont="1" applyAlignment="1">
      <alignment wrapText="1"/>
    </xf>
    <xf numFmtId="0" fontId="21" fillId="0" borderId="0" xfId="0" applyFont="1"/>
    <xf numFmtId="0" fontId="6" fillId="0" borderId="0" xfId="0" applyFont="1"/>
    <xf numFmtId="164" fontId="2" fillId="0" borderId="3" xfId="0" applyNumberFormat="1" applyFont="1" applyBorder="1" applyAlignment="1">
      <alignment vertical="center" wrapText="1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applyFont="1" applyAlignment="1"/>
    <xf numFmtId="0" fontId="0" fillId="0" borderId="0" xfId="0" applyAlignment="1"/>
    <xf numFmtId="0" fontId="0" fillId="0" borderId="0" xfId="0" applyAlignment="1">
      <alignment horizontal="left" wrapText="1"/>
    </xf>
    <xf numFmtId="0" fontId="18" fillId="0" borderId="0" xfId="0" applyFont="1" applyAlignment="1"/>
    <xf numFmtId="0" fontId="19" fillId="0" borderId="4" xfId="0" applyFont="1" applyBorder="1" applyAlignme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504825</xdr:colOff>
      <xdr:row>4</xdr:row>
      <xdr:rowOff>123825</xdr:rowOff>
    </xdr:from>
    <xdr:to>
      <xdr:col>15</xdr:col>
      <xdr:colOff>621032</xdr:colOff>
      <xdr:row>5</xdr:row>
      <xdr:rowOff>11896</xdr:rowOff>
    </xdr:to>
    <xdr:sp macro="" textlink="">
      <xdr:nvSpPr>
        <xdr:cNvPr id="15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/>
        </xdr:cNvSpPr>
      </xdr:nvSpPr>
      <xdr:spPr bwMode="auto">
        <a:xfrm>
          <a:off x="10401300" y="1924050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15</xdr:col>
      <xdr:colOff>504825</xdr:colOff>
      <xdr:row>5</xdr:row>
      <xdr:rowOff>133350</xdr:rowOff>
    </xdr:from>
    <xdr:to>
      <xdr:col>15</xdr:col>
      <xdr:colOff>621032</xdr:colOff>
      <xdr:row>6</xdr:row>
      <xdr:rowOff>11896</xdr:rowOff>
    </xdr:to>
    <xdr:sp macro="" textlink="">
      <xdr:nvSpPr>
        <xdr:cNvPr id="16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/>
        </xdr:cNvSpPr>
      </xdr:nvSpPr>
      <xdr:spPr bwMode="auto">
        <a:xfrm>
          <a:off x="10401300" y="2228850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19</xdr:col>
      <xdr:colOff>114300</xdr:colOff>
      <xdr:row>4</xdr:row>
      <xdr:rowOff>38100</xdr:rowOff>
    </xdr:from>
    <xdr:to>
      <xdr:col>22</xdr:col>
      <xdr:colOff>428625</xdr:colOff>
      <xdr:row>12</xdr:row>
      <xdr:rowOff>219076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15875" y="895350"/>
          <a:ext cx="2714625" cy="2695576"/>
        </a:xfrm>
        <a:prstGeom prst="rect">
          <a:avLst/>
        </a:prstGeom>
        <a:solidFill>
          <a:schemeClr val="bg1"/>
        </a:solidFill>
        <a:ln w="28575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GB" sz="11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Instructions:</a:t>
          </a:r>
        </a:p>
        <a:p>
          <a:pPr marL="0" indent="0" algn="l"/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Boxes shaded in</a:t>
          </a:r>
          <a:r>
            <a:rPr lang="en-GB" sz="11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en-GB" sz="1200" b="1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grey</a:t>
          </a:r>
          <a:r>
            <a:rPr lang="en-GB" sz="11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are editable. The rest of the sheet is protected against editing.</a:t>
          </a:r>
        </a:p>
        <a:p>
          <a:pPr marL="0" indent="0" algn="l"/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basic annual income (gross), including any additional allowances</a:t>
          </a: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indicate whether you will have pension deductions taken from your salary</a:t>
          </a: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total sum of other existing deductions</a:t>
          </a: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4.) 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Calculations are automatic.</a:t>
          </a:r>
        </a:p>
        <a:p>
          <a:pPr marL="0" indent="0" algn="l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5.) </a:t>
          </a:r>
          <a:r>
            <a:rPr lang="en-GB" sz="1100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Estimated</a:t>
          </a:r>
          <a:r>
            <a:rPr lang="en-GB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monthly repayments will be automatically calculated.</a:t>
          </a:r>
          <a:r>
            <a:rPr lang="en-GB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GB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7</xdr:col>
      <xdr:colOff>571500</xdr:colOff>
      <xdr:row>4</xdr:row>
      <xdr:rowOff>114300</xdr:rowOff>
    </xdr:from>
    <xdr:to>
      <xdr:col>8</xdr:col>
      <xdr:colOff>20957</xdr:colOff>
      <xdr:row>5</xdr:row>
      <xdr:rowOff>11896</xdr:rowOff>
    </xdr:to>
    <xdr:sp macro="" textlink="">
      <xdr:nvSpPr>
        <xdr:cNvPr id="51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/>
        </xdr:cNvSpPr>
      </xdr:nvSpPr>
      <xdr:spPr bwMode="auto">
        <a:xfrm>
          <a:off x="4867275" y="1914525"/>
          <a:ext cx="116207" cy="192871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561975</xdr:colOff>
      <xdr:row>5</xdr:row>
      <xdr:rowOff>104775</xdr:rowOff>
    </xdr:from>
    <xdr:to>
      <xdr:col>8</xdr:col>
      <xdr:colOff>11432</xdr:colOff>
      <xdr:row>5</xdr:row>
      <xdr:rowOff>297646</xdr:rowOff>
    </xdr:to>
    <xdr:sp macro="" textlink="">
      <xdr:nvSpPr>
        <xdr:cNvPr id="52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/>
        </xdr:cNvSpPr>
      </xdr:nvSpPr>
      <xdr:spPr bwMode="auto">
        <a:xfrm>
          <a:off x="4857750" y="2200275"/>
          <a:ext cx="116207" cy="192871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552450</xdr:colOff>
      <xdr:row>7</xdr:row>
      <xdr:rowOff>66675</xdr:rowOff>
    </xdr:from>
    <xdr:to>
      <xdr:col>8</xdr:col>
      <xdr:colOff>1907</xdr:colOff>
      <xdr:row>8</xdr:row>
      <xdr:rowOff>2371</xdr:rowOff>
    </xdr:to>
    <xdr:sp macro="" textlink="">
      <xdr:nvSpPr>
        <xdr:cNvPr id="53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/>
        </xdr:cNvSpPr>
      </xdr:nvSpPr>
      <xdr:spPr bwMode="auto">
        <a:xfrm>
          <a:off x="4848225" y="277177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561975</xdr:colOff>
      <xdr:row>9</xdr:row>
      <xdr:rowOff>219075</xdr:rowOff>
    </xdr:from>
    <xdr:to>
      <xdr:col>8</xdr:col>
      <xdr:colOff>11432</xdr:colOff>
      <xdr:row>10</xdr:row>
      <xdr:rowOff>69046</xdr:rowOff>
    </xdr:to>
    <xdr:sp macro="" textlink="">
      <xdr:nvSpPr>
        <xdr:cNvPr id="54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/>
        </xdr:cNvSpPr>
      </xdr:nvSpPr>
      <xdr:spPr bwMode="auto">
        <a:xfrm>
          <a:off x="4857750" y="3524250"/>
          <a:ext cx="116207" cy="192871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552450</xdr:colOff>
      <xdr:row>8</xdr:row>
      <xdr:rowOff>171450</xdr:rowOff>
    </xdr:from>
    <xdr:to>
      <xdr:col>8</xdr:col>
      <xdr:colOff>1907</xdr:colOff>
      <xdr:row>9</xdr:row>
      <xdr:rowOff>2371</xdr:rowOff>
    </xdr:to>
    <xdr:sp macro="" textlink="">
      <xdr:nvSpPr>
        <xdr:cNvPr id="55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/>
        </xdr:cNvSpPr>
      </xdr:nvSpPr>
      <xdr:spPr bwMode="auto">
        <a:xfrm>
          <a:off x="4848225" y="3124200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571500</xdr:colOff>
      <xdr:row>10</xdr:row>
      <xdr:rowOff>190500</xdr:rowOff>
    </xdr:from>
    <xdr:to>
      <xdr:col>8</xdr:col>
      <xdr:colOff>20957</xdr:colOff>
      <xdr:row>11</xdr:row>
      <xdr:rowOff>78571</xdr:rowOff>
    </xdr:to>
    <xdr:sp macro="" textlink="">
      <xdr:nvSpPr>
        <xdr:cNvPr id="56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/>
        </xdr:cNvSpPr>
      </xdr:nvSpPr>
      <xdr:spPr bwMode="auto">
        <a:xfrm>
          <a:off x="4867275" y="3886200"/>
          <a:ext cx="116207" cy="192871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561975</xdr:colOff>
      <xdr:row>6</xdr:row>
      <xdr:rowOff>123825</xdr:rowOff>
    </xdr:from>
    <xdr:to>
      <xdr:col>8</xdr:col>
      <xdr:colOff>11432</xdr:colOff>
      <xdr:row>7</xdr:row>
      <xdr:rowOff>2371</xdr:rowOff>
    </xdr:to>
    <xdr:sp macro="" textlink="">
      <xdr:nvSpPr>
        <xdr:cNvPr id="57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/>
        </xdr:cNvSpPr>
      </xdr:nvSpPr>
      <xdr:spPr bwMode="auto">
        <a:xfrm>
          <a:off x="4857750" y="252412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15</xdr:col>
      <xdr:colOff>495300</xdr:colOff>
      <xdr:row>6</xdr:row>
      <xdr:rowOff>123825</xdr:rowOff>
    </xdr:from>
    <xdr:to>
      <xdr:col>15</xdr:col>
      <xdr:colOff>611507</xdr:colOff>
      <xdr:row>7</xdr:row>
      <xdr:rowOff>2371</xdr:rowOff>
    </xdr:to>
    <xdr:sp macro="" textlink="">
      <xdr:nvSpPr>
        <xdr:cNvPr id="62" name="Arrow" descr="&quot;&quot;" title="Artwork: Right Arrow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/>
        </xdr:cNvSpPr>
      </xdr:nvSpPr>
      <xdr:spPr bwMode="auto">
        <a:xfrm>
          <a:off x="10391775" y="2524125"/>
          <a:ext cx="116207" cy="183346"/>
        </a:xfrm>
        <a:custGeom>
          <a:avLst/>
          <a:gdLst>
            <a:gd name="T0" fmla="*/ 0 w 2240"/>
            <a:gd name="T1" fmla="*/ 0 h 3315"/>
            <a:gd name="T2" fmla="*/ 2240 w 2240"/>
            <a:gd name="T3" fmla="*/ 1646 h 3315"/>
            <a:gd name="T4" fmla="*/ 0 w 2240"/>
            <a:gd name="T5" fmla="*/ 3315 h 3315"/>
            <a:gd name="T6" fmla="*/ 0 w 2240"/>
            <a:gd name="T7" fmla="*/ 0 h 331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240" h="3315">
              <a:moveTo>
                <a:pt x="0" y="0"/>
              </a:moveTo>
              <a:lnTo>
                <a:pt x="2240" y="1646"/>
              </a:lnTo>
              <a:lnTo>
                <a:pt x="0" y="3315"/>
              </a:lnTo>
              <a:lnTo>
                <a:pt x="0" y="0"/>
              </a:lnTo>
              <a:close/>
            </a:path>
          </a:pathLst>
        </a:custGeom>
        <a:solidFill>
          <a:schemeClr val="bg1">
            <a:lumMod val="6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A54"/>
  <sheetViews>
    <sheetView showGridLines="0" tabSelected="1" topLeftCell="I42" workbookViewId="0">
      <selection activeCell="B1" sqref="B1:AA54"/>
    </sheetView>
  </sheetViews>
  <sheetFormatPr defaultRowHeight="14.5"/>
  <cols>
    <col min="3" max="3" width="9.08984375" customWidth="1"/>
    <col min="4" max="4" width="9.26953125" bestFit="1" customWidth="1"/>
    <col min="5" max="5" width="9.26953125" customWidth="1"/>
    <col min="7" max="7" width="9.26953125" bestFit="1" customWidth="1"/>
    <col min="8" max="8" width="10" customWidth="1"/>
    <col min="9" max="9" width="14.90625" customWidth="1"/>
    <col min="10" max="10" width="9.08984375" customWidth="1"/>
    <col min="11" max="11" width="6.90625" customWidth="1"/>
    <col min="13" max="13" width="10.7265625" bestFit="1" customWidth="1"/>
    <col min="15" max="15" width="8.08984375" customWidth="1"/>
    <col min="16" max="16" width="13.36328125" customWidth="1"/>
    <col min="17" max="17" width="16.7265625" customWidth="1"/>
    <col min="18" max="18" width="5.90625" customWidth="1"/>
    <col min="19" max="19" width="4" customWidth="1"/>
    <col min="20" max="20" width="12.36328125" customWidth="1"/>
    <col min="21" max="21" width="14.36328125" bestFit="1" customWidth="1"/>
  </cols>
  <sheetData>
    <row r="1" spans="3:27">
      <c r="C1" s="63"/>
      <c r="D1" s="63"/>
      <c r="E1" s="63"/>
      <c r="F1" s="63"/>
      <c r="G1" s="63"/>
    </row>
    <row r="2" spans="3:27" ht="18.5">
      <c r="K2" s="42" t="s">
        <v>25</v>
      </c>
      <c r="L2" s="42"/>
      <c r="M2" s="42"/>
    </row>
    <row r="3" spans="3:27" ht="15" customHeight="1"/>
    <row r="4" spans="3:27" ht="18.75" customHeight="1">
      <c r="U4" s="41"/>
      <c r="V4" s="41"/>
      <c r="W4" s="41"/>
      <c r="X4" s="41"/>
      <c r="Y4" s="41"/>
    </row>
    <row r="5" spans="3:27" ht="23.25" customHeight="1">
      <c r="C5" s="64" t="s">
        <v>21</v>
      </c>
      <c r="D5" s="64"/>
      <c r="E5" s="64"/>
      <c r="F5" s="64"/>
      <c r="G5" s="64"/>
      <c r="H5" s="65"/>
      <c r="I5" s="29">
        <v>30000</v>
      </c>
      <c r="L5" s="24" t="s">
        <v>18</v>
      </c>
      <c r="Q5" s="34">
        <f>(D54+O54)/12</f>
        <v>454.26519999999999</v>
      </c>
      <c r="R5" s="3"/>
      <c r="S5" s="3"/>
      <c r="T5" s="25"/>
      <c r="W5" s="1"/>
    </row>
    <row r="6" spans="3:27" ht="24" customHeight="1">
      <c r="C6" s="64" t="s">
        <v>0</v>
      </c>
      <c r="D6" s="64"/>
      <c r="E6" s="64"/>
      <c r="F6" s="64"/>
      <c r="G6" s="64"/>
      <c r="H6" s="65"/>
      <c r="I6" s="28">
        <f>I5/12</f>
        <v>2500</v>
      </c>
      <c r="L6" s="24" t="s">
        <v>1</v>
      </c>
      <c r="Q6" s="34">
        <f>I11-Q5</f>
        <v>1845.7348</v>
      </c>
      <c r="R6" s="3"/>
      <c r="T6" s="26"/>
      <c r="U6" s="26"/>
      <c r="V6" s="26"/>
      <c r="W6" s="26"/>
      <c r="X6" s="26"/>
      <c r="Y6" s="26"/>
      <c r="Z6" s="26"/>
      <c r="AA6" s="26"/>
    </row>
    <row r="7" spans="3:27" ht="24" customHeight="1">
      <c r="C7" s="61" t="s">
        <v>19</v>
      </c>
      <c r="D7" s="61"/>
      <c r="E7" s="61"/>
      <c r="F7" s="61"/>
      <c r="G7" s="61"/>
      <c r="H7" s="62"/>
      <c r="I7" s="30" t="s">
        <v>32</v>
      </c>
      <c r="L7" s="24" t="s">
        <v>20</v>
      </c>
      <c r="M7" s="24"/>
      <c r="N7" s="24"/>
      <c r="Q7" s="34">
        <f>Q6*12</f>
        <v>22148.817599999998</v>
      </c>
      <c r="R7" s="3"/>
      <c r="T7" s="26"/>
      <c r="U7" s="26"/>
      <c r="V7" s="26"/>
      <c r="W7" s="26"/>
      <c r="X7" s="26"/>
      <c r="Y7" s="26"/>
      <c r="Z7" s="26"/>
      <c r="AA7" s="26"/>
    </row>
    <row r="8" spans="3:27" ht="19.5" customHeight="1">
      <c r="C8" s="61" t="s">
        <v>22</v>
      </c>
      <c r="D8" s="61"/>
      <c r="E8" s="61"/>
      <c r="F8" s="61"/>
      <c r="G8" s="61"/>
      <c r="H8" s="62"/>
      <c r="I8" s="28">
        <f>IF(I7="Y",I6*8/100,"£0.00")</f>
        <v>200</v>
      </c>
      <c r="R8" s="3"/>
      <c r="T8" s="26"/>
      <c r="U8" s="26"/>
      <c r="V8" s="26"/>
      <c r="W8" s="26"/>
      <c r="X8" s="26"/>
      <c r="Y8" s="26"/>
      <c r="Z8" s="26"/>
      <c r="AA8" s="26"/>
    </row>
    <row r="9" spans="3:27" ht="27.75" customHeight="1">
      <c r="C9" s="66" t="s">
        <v>33</v>
      </c>
      <c r="D9" s="66"/>
      <c r="E9" s="66"/>
      <c r="F9" s="66"/>
      <c r="G9" s="66"/>
      <c r="H9" s="67"/>
      <c r="I9" s="30">
        <v>0</v>
      </c>
      <c r="T9" s="26"/>
      <c r="U9" s="26"/>
      <c r="V9" s="26"/>
      <c r="W9" s="26"/>
      <c r="X9" s="26"/>
      <c r="Y9" s="26"/>
      <c r="Z9" s="26"/>
      <c r="AA9" s="26"/>
    </row>
    <row r="10" spans="3:27" ht="27" customHeight="1">
      <c r="C10" s="64" t="s">
        <v>2</v>
      </c>
      <c r="D10" s="64"/>
      <c r="E10" s="64"/>
      <c r="F10" s="64"/>
      <c r="G10" s="64"/>
      <c r="H10" s="65"/>
      <c r="I10" s="28">
        <f>I8+I9</f>
        <v>200</v>
      </c>
      <c r="T10" s="58"/>
      <c r="U10" s="58"/>
      <c r="V10" s="58"/>
      <c r="W10" s="58"/>
      <c r="X10" s="58"/>
      <c r="Y10" s="58"/>
      <c r="Z10" s="58"/>
      <c r="AA10" s="58"/>
    </row>
    <row r="11" spans="3:27" ht="24" customHeight="1" thickBot="1">
      <c r="C11" s="64" t="s">
        <v>3</v>
      </c>
      <c r="D11" s="64"/>
      <c r="E11" s="64"/>
      <c r="F11" s="64"/>
      <c r="G11" s="64"/>
      <c r="H11" s="65"/>
      <c r="I11" s="28">
        <f>I6-I10</f>
        <v>2300</v>
      </c>
    </row>
    <row r="12" spans="3:27" ht="19" thickBot="1">
      <c r="L12" s="55" t="s">
        <v>31</v>
      </c>
      <c r="M12" s="55"/>
      <c r="N12" s="55"/>
      <c r="O12" s="55"/>
      <c r="P12" s="55"/>
      <c r="Q12" s="46">
        <v>8000</v>
      </c>
    </row>
    <row r="13" spans="3:27" ht="18.5">
      <c r="L13" s="44"/>
      <c r="M13" s="44"/>
      <c r="N13" s="44"/>
      <c r="O13" s="44"/>
      <c r="P13" s="44"/>
      <c r="Q13" s="44"/>
      <c r="R13" s="44"/>
    </row>
    <row r="14" spans="3:27" ht="18.5">
      <c r="L14" s="54" t="s">
        <v>26</v>
      </c>
      <c r="M14" s="54"/>
      <c r="N14" s="54"/>
      <c r="O14" s="44"/>
      <c r="P14" s="44"/>
      <c r="Q14" s="45"/>
    </row>
    <row r="15" spans="3:27" ht="3.75" customHeight="1" thickBot="1">
      <c r="C15" s="4"/>
    </row>
    <row r="16" spans="3:27" ht="14.25" customHeight="1" thickBot="1">
      <c r="C16" s="48"/>
      <c r="L16" s="55" t="s">
        <v>28</v>
      </c>
      <c r="M16" s="55"/>
      <c r="N16" s="55"/>
      <c r="O16" s="55"/>
      <c r="P16" s="55"/>
      <c r="Q16" s="43">
        <f>Q12/10</f>
        <v>800</v>
      </c>
    </row>
    <row r="17" spans="3:20" ht="14.25" customHeight="1" thickBot="1">
      <c r="C17" s="4"/>
    </row>
    <row r="18" spans="3:20" ht="14.25" customHeight="1" thickBot="1">
      <c r="C18" s="56"/>
      <c r="D18" s="59"/>
      <c r="E18" s="59"/>
      <c r="F18" s="57"/>
      <c r="L18" s="56" t="s">
        <v>29</v>
      </c>
      <c r="M18" s="56"/>
      <c r="N18" s="56"/>
      <c r="O18" s="56"/>
      <c r="P18" s="60"/>
      <c r="Q18" s="43">
        <f>IF(Q16&lt;Q6,Q16,Q6)</f>
        <v>800</v>
      </c>
    </row>
    <row r="19" spans="3:20" ht="14.25" customHeight="1">
      <c r="C19" s="4"/>
    </row>
    <row r="20" spans="3:20" ht="14.25" customHeight="1">
      <c r="C20" s="4"/>
    </row>
    <row r="21" spans="3:20" ht="14.25" customHeight="1" thickBot="1">
      <c r="C21" s="4"/>
      <c r="L21" s="54" t="s">
        <v>27</v>
      </c>
      <c r="M21" s="54"/>
      <c r="N21" s="54"/>
      <c r="O21" s="54"/>
    </row>
    <row r="22" spans="3:20" ht="14.25" customHeight="1" thickBot="1">
      <c r="C22" s="4"/>
      <c r="L22" s="55" t="s">
        <v>28</v>
      </c>
      <c r="M22" s="55"/>
      <c r="N22" s="55"/>
      <c r="O22" s="55"/>
      <c r="P22" s="55"/>
      <c r="Q22" s="43">
        <f>Q12/10</f>
        <v>800</v>
      </c>
    </row>
    <row r="23" spans="3:20" ht="14.25" customHeight="1" thickBot="1">
      <c r="C23" s="4"/>
      <c r="L23" s="54"/>
      <c r="M23" s="54"/>
      <c r="N23" s="54"/>
      <c r="O23" s="54"/>
      <c r="P23" s="54"/>
    </row>
    <row r="24" spans="3:20" ht="14.25" customHeight="1" thickBot="1">
      <c r="C24" s="4"/>
      <c r="L24" s="56" t="s">
        <v>30</v>
      </c>
      <c r="M24" s="57"/>
      <c r="N24" s="57"/>
      <c r="O24" s="57"/>
      <c r="P24" s="57"/>
      <c r="Q24" s="43">
        <f>IF(Q22&lt;Q6,Q22,Q6)</f>
        <v>800</v>
      </c>
      <c r="T24" s="49"/>
    </row>
    <row r="25" spans="3:20" ht="12.75" customHeight="1" thickBot="1"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3:20" ht="17.75" customHeight="1" thickBot="1">
      <c r="C26" s="47"/>
      <c r="D26" s="47"/>
      <c r="E26" s="47"/>
      <c r="F26" s="47"/>
      <c r="G26" s="47"/>
      <c r="H26" s="47"/>
      <c r="I26" s="47"/>
      <c r="J26" s="47"/>
      <c r="K26" s="47"/>
      <c r="L26" s="52" t="s">
        <v>34</v>
      </c>
      <c r="M26" s="53"/>
      <c r="N26" s="53"/>
      <c r="O26" s="53"/>
      <c r="P26" s="53"/>
      <c r="Q26" s="50">
        <f>SUM(Q6-Q24)</f>
        <v>1045.7348</v>
      </c>
      <c r="R26" s="47"/>
    </row>
    <row r="27" spans="3:20" ht="12.75" customHeight="1">
      <c r="C27" s="51" t="s">
        <v>35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47"/>
    </row>
    <row r="28" spans="3:20" ht="12.75" customHeight="1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7"/>
    </row>
    <row r="29" spans="3:20" ht="12.75" customHeight="1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7"/>
    </row>
    <row r="30" spans="3:20" ht="14.25" customHeight="1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47"/>
      <c r="S30" s="33"/>
    </row>
    <row r="31" spans="3:20" ht="14.25" customHeight="1"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47"/>
      <c r="S31" s="40"/>
    </row>
    <row r="32" spans="3:20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2"/>
      <c r="S32" s="2"/>
    </row>
    <row r="33" spans="3:2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3:21">
      <c r="C34" s="2"/>
      <c r="D34" s="2"/>
      <c r="E34" s="2"/>
      <c r="F34" s="2"/>
      <c r="G34" s="2"/>
      <c r="H34" s="2"/>
      <c r="I34" s="2"/>
      <c r="J34" s="2"/>
      <c r="K34" s="2"/>
      <c r="L34" s="2"/>
      <c r="M34" s="32"/>
      <c r="N34" s="2"/>
      <c r="O34" s="2"/>
      <c r="P34" s="2"/>
      <c r="Q34" s="2"/>
      <c r="R34" s="2"/>
      <c r="S34" s="2"/>
    </row>
    <row r="35" spans="3:2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3:2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3:2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3:2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3:2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3:2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3:2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3:21">
      <c r="C42" s="2"/>
      <c r="D42" s="2"/>
      <c r="E42" s="2"/>
      <c r="F42" s="2"/>
      <c r="G42" s="2"/>
      <c r="H42" s="2"/>
      <c r="I42" s="2"/>
      <c r="J42" s="2"/>
      <c r="K42" s="27"/>
      <c r="L42" s="2"/>
      <c r="M42" s="2"/>
      <c r="N42" s="2"/>
      <c r="O42" s="2"/>
      <c r="P42" s="2"/>
      <c r="Q42" s="2"/>
      <c r="R42" s="2"/>
      <c r="S42" s="2"/>
    </row>
    <row r="43" spans="3:21">
      <c r="C43" s="2"/>
      <c r="D43" s="2"/>
      <c r="E43" s="2"/>
      <c r="F43" s="2"/>
      <c r="G43" s="2"/>
      <c r="H43" s="2"/>
      <c r="I43" s="2"/>
      <c r="J43" s="2"/>
      <c r="K43" s="27"/>
      <c r="L43" s="2"/>
      <c r="M43" s="2"/>
      <c r="N43" s="2"/>
      <c r="O43" s="2"/>
      <c r="P43" s="2"/>
      <c r="Q43" s="2"/>
      <c r="R43" s="2"/>
      <c r="S43" s="2"/>
    </row>
    <row r="44" spans="3:21">
      <c r="K44" s="27"/>
    </row>
    <row r="45" spans="3:21" ht="32.5">
      <c r="C45" s="16" t="s">
        <v>4</v>
      </c>
      <c r="D45" s="6">
        <f>I5-H45-K45</f>
        <v>15750</v>
      </c>
      <c r="E45" s="7"/>
      <c r="F45" s="8"/>
      <c r="G45" s="23" t="s">
        <v>5</v>
      </c>
      <c r="H45" s="9">
        <v>11850</v>
      </c>
      <c r="I45" s="7"/>
      <c r="J45" s="23" t="s">
        <v>23</v>
      </c>
      <c r="K45" s="35">
        <f>I8*12</f>
        <v>2400</v>
      </c>
      <c r="N45" s="23" t="s">
        <v>13</v>
      </c>
      <c r="O45" s="9">
        <f>(I5-K45)/52</f>
        <v>530.76923076923072</v>
      </c>
      <c r="P45" s="7"/>
      <c r="Q45" s="8"/>
      <c r="R45" s="23" t="s">
        <v>14</v>
      </c>
      <c r="S45" s="17">
        <v>65</v>
      </c>
      <c r="T45" s="18" t="s">
        <v>15</v>
      </c>
      <c r="U45" s="7"/>
    </row>
    <row r="46" spans="3:21">
      <c r="C46" s="5"/>
      <c r="D46" s="6"/>
      <c r="E46" s="7"/>
      <c r="F46" s="8"/>
      <c r="G46" s="7"/>
      <c r="H46" s="9"/>
      <c r="I46" s="7"/>
      <c r="J46" s="7"/>
      <c r="N46" s="7"/>
      <c r="O46" s="7"/>
      <c r="P46" s="7"/>
      <c r="Q46" s="8"/>
      <c r="R46" s="7"/>
      <c r="S46" s="7"/>
      <c r="T46" s="7"/>
      <c r="U46" s="7"/>
    </row>
    <row r="47" spans="3:21" ht="32.5">
      <c r="C47" s="7"/>
      <c r="D47" s="7"/>
      <c r="E47" s="9"/>
      <c r="F47" s="8"/>
      <c r="G47" s="7"/>
      <c r="H47" s="7"/>
      <c r="I47" s="7"/>
      <c r="J47" s="7"/>
      <c r="N47" s="7"/>
      <c r="O47" s="10" t="s">
        <v>24</v>
      </c>
      <c r="P47" s="11" t="s">
        <v>7</v>
      </c>
      <c r="Q47" s="8"/>
      <c r="R47" s="10" t="s">
        <v>8</v>
      </c>
      <c r="S47" s="37" t="s">
        <v>9</v>
      </c>
      <c r="T47" s="37" t="s">
        <v>10</v>
      </c>
      <c r="U47" s="39" t="s">
        <v>11</v>
      </c>
    </row>
    <row r="48" spans="3:21">
      <c r="C48" s="7"/>
      <c r="D48" s="10" t="s">
        <v>6</v>
      </c>
      <c r="E48" s="11" t="s">
        <v>7</v>
      </c>
      <c r="F48" s="8"/>
      <c r="G48" s="10" t="s">
        <v>8</v>
      </c>
      <c r="H48" s="10" t="s">
        <v>9</v>
      </c>
      <c r="I48" s="10" t="s">
        <v>10</v>
      </c>
      <c r="J48" s="5" t="s">
        <v>11</v>
      </c>
      <c r="N48" s="12" t="str">
        <f t="shared" ref="N48:N50" si="0">R48*100&amp;"% Rate"</f>
        <v>0% Rate</v>
      </c>
      <c r="O48" s="9">
        <f>IF(O45&gt;=S48,IF(O45&gt;=U48,U48*R48,O45*R48),0)</f>
        <v>0</v>
      </c>
      <c r="P48" s="19">
        <f>IF((O45-U48)&gt;0,O45-U48,0)</f>
        <v>368.77923076923071</v>
      </c>
      <c r="Q48" s="8"/>
      <c r="R48" s="13">
        <v>0</v>
      </c>
      <c r="S48" s="14">
        <v>0</v>
      </c>
      <c r="T48" s="14">
        <v>161.99</v>
      </c>
      <c r="U48" s="19">
        <f>T48-S48</f>
        <v>161.99</v>
      </c>
    </row>
    <row r="49" spans="3:21">
      <c r="C49" s="12" t="str">
        <f t="shared" ref="C49:C52" si="1">G49*100&amp;"% Rate"</f>
        <v>0% Rate</v>
      </c>
      <c r="D49" s="9">
        <f>IF(D45&gt;=H49,IF(D45&gt;=J49,J49*G49,D45*G49),0)</f>
        <v>0</v>
      </c>
      <c r="E49" s="6">
        <f>IF((D45-J49)&gt;0,D45-J49,0)</f>
        <v>15750</v>
      </c>
      <c r="F49" s="8"/>
      <c r="G49" s="13">
        <v>0</v>
      </c>
      <c r="H49" s="14">
        <v>0</v>
      </c>
      <c r="I49" s="14">
        <v>0</v>
      </c>
      <c r="J49" s="6">
        <f t="shared" ref="J49:J50" si="2">I49-H49</f>
        <v>0</v>
      </c>
      <c r="N49" s="12" t="str">
        <f t="shared" si="0"/>
        <v>12% Rate</v>
      </c>
      <c r="O49" s="9">
        <f t="shared" ref="O49:O50" si="3">IF(P48&gt;0,IF(P48&gt;=U49,U49*R49,P48*R49),0)</f>
        <v>44.253507692307686</v>
      </c>
      <c r="P49" s="19">
        <f t="shared" ref="P49:P50" si="4">IF((P48-U49)&gt;0,P48-U49,0)</f>
        <v>0</v>
      </c>
      <c r="Q49" s="8"/>
      <c r="R49" s="13">
        <v>0.12</v>
      </c>
      <c r="S49" s="9">
        <f t="shared" ref="S49:S50" si="5">T48+0.01</f>
        <v>162</v>
      </c>
      <c r="T49" s="14">
        <v>891.99</v>
      </c>
      <c r="U49" s="19">
        <f t="shared" ref="U49:U50" si="6">T49-S49+0.01</f>
        <v>730</v>
      </c>
    </row>
    <row r="50" spans="3:21">
      <c r="C50" s="12" t="str">
        <f t="shared" si="1"/>
        <v>20% Rate</v>
      </c>
      <c r="D50" s="9">
        <f t="shared" ref="D50:D52" si="7">IF(E49&gt;0,IF(E49&gt;=J50,J50*G50,E49*G50),0)</f>
        <v>3150</v>
      </c>
      <c r="E50" s="6">
        <f t="shared" ref="E50:E52" si="8">IF((E49-J50)&gt;0,E49-J50,0)</f>
        <v>0</v>
      </c>
      <c r="F50" s="8"/>
      <c r="G50" s="13">
        <v>0.2</v>
      </c>
      <c r="H50" s="9">
        <f>IF(I49&gt;=1,I49+1,I49)</f>
        <v>0</v>
      </c>
      <c r="I50" s="14">
        <v>34500</v>
      </c>
      <c r="J50" s="6">
        <f t="shared" si="2"/>
        <v>34500</v>
      </c>
      <c r="N50" s="12" t="str">
        <f t="shared" si="0"/>
        <v>2% Rate</v>
      </c>
      <c r="O50" s="9">
        <f t="shared" si="3"/>
        <v>0</v>
      </c>
      <c r="P50" s="19">
        <f t="shared" si="4"/>
        <v>0</v>
      </c>
      <c r="Q50" s="8"/>
      <c r="R50" s="13">
        <v>0.02</v>
      </c>
      <c r="S50" s="9">
        <f t="shared" si="5"/>
        <v>892</v>
      </c>
      <c r="T50" s="20">
        <v>99999999.989999995</v>
      </c>
      <c r="U50" s="19">
        <f t="shared" si="6"/>
        <v>99999108</v>
      </c>
    </row>
    <row r="51" spans="3:21">
      <c r="C51" s="12" t="str">
        <f t="shared" si="1"/>
        <v>40% Rate</v>
      </c>
      <c r="D51" s="9">
        <f t="shared" si="7"/>
        <v>0</v>
      </c>
      <c r="E51" s="6">
        <f t="shared" si="8"/>
        <v>0</v>
      </c>
      <c r="F51" s="8"/>
      <c r="G51" s="13">
        <v>0.4</v>
      </c>
      <c r="H51" s="9">
        <f>I50+1</f>
        <v>34501</v>
      </c>
      <c r="I51" s="15">
        <v>150000</v>
      </c>
      <c r="J51" s="6">
        <f t="shared" ref="J51:J52" si="9">I51-H51+1</f>
        <v>115500</v>
      </c>
      <c r="N51" s="7"/>
      <c r="O51" s="7"/>
      <c r="P51" s="7"/>
      <c r="Q51" s="8"/>
      <c r="R51" s="7"/>
      <c r="S51" s="7"/>
      <c r="T51" s="7"/>
      <c r="U51" s="7"/>
    </row>
    <row r="52" spans="3:21" ht="21.5">
      <c r="C52" s="12" t="str">
        <f t="shared" si="1"/>
        <v>45% Rate</v>
      </c>
      <c r="D52" s="9">
        <f t="shared" si="7"/>
        <v>0</v>
      </c>
      <c r="E52" s="6">
        <f t="shared" si="8"/>
        <v>0</v>
      </c>
      <c r="F52" s="8"/>
      <c r="G52" s="13">
        <v>0.45</v>
      </c>
      <c r="H52" s="9">
        <f>I51+1</f>
        <v>150001</v>
      </c>
      <c r="I52" s="15">
        <v>99999999</v>
      </c>
      <c r="J52" s="6">
        <f t="shared" si="9"/>
        <v>99849999</v>
      </c>
      <c r="N52" s="38" t="s">
        <v>16</v>
      </c>
      <c r="O52" s="19">
        <f>SUM(O48:O50)</f>
        <v>44.253507692307686</v>
      </c>
      <c r="P52" s="7"/>
      <c r="Q52" s="8"/>
      <c r="R52" s="7"/>
      <c r="S52" s="7"/>
      <c r="T52" s="7"/>
      <c r="U52" s="7"/>
    </row>
    <row r="53" spans="3:21">
      <c r="C53" s="7"/>
      <c r="D53" s="7"/>
      <c r="E53" s="7"/>
      <c r="F53" s="8"/>
      <c r="G53" s="7"/>
      <c r="H53" s="7"/>
      <c r="I53" s="7"/>
      <c r="J53" s="7"/>
      <c r="N53" s="21"/>
      <c r="O53" s="9"/>
      <c r="P53" s="7"/>
      <c r="Q53" s="8"/>
      <c r="R53" s="7"/>
      <c r="S53" s="7"/>
      <c r="T53" s="7"/>
      <c r="U53" s="7"/>
    </row>
    <row r="54" spans="3:21" ht="22">
      <c r="C54" s="37" t="s">
        <v>12</v>
      </c>
      <c r="D54" s="31">
        <f>SUM(D49:D52)</f>
        <v>3150</v>
      </c>
      <c r="E54" s="7"/>
      <c r="F54" s="8"/>
      <c r="G54" s="7"/>
      <c r="H54" s="7"/>
      <c r="I54" s="7"/>
      <c r="J54" s="7"/>
      <c r="N54" s="36" t="s">
        <v>17</v>
      </c>
      <c r="O54" s="22">
        <f>(O52*52)-O53</f>
        <v>2301.1823999999997</v>
      </c>
      <c r="P54" s="7"/>
      <c r="Q54" s="8"/>
      <c r="R54" s="7"/>
      <c r="S54" s="7"/>
      <c r="T54" s="7"/>
      <c r="U54" s="7"/>
    </row>
  </sheetData>
  <protectedRanges>
    <protectedRange sqref="I5 I9 I7" name="HR Changes_1_3"/>
  </protectedRanges>
  <mergeCells count="20">
    <mergeCell ref="C7:H7"/>
    <mergeCell ref="C1:G1"/>
    <mergeCell ref="C11:H11"/>
    <mergeCell ref="C9:H9"/>
    <mergeCell ref="C6:H6"/>
    <mergeCell ref="C8:H8"/>
    <mergeCell ref="C10:H10"/>
    <mergeCell ref="C5:H5"/>
    <mergeCell ref="L16:P16"/>
    <mergeCell ref="T10:AA10"/>
    <mergeCell ref="C18:F18"/>
    <mergeCell ref="L18:P18"/>
    <mergeCell ref="L12:P12"/>
    <mergeCell ref="L14:N14"/>
    <mergeCell ref="C27:Q32"/>
    <mergeCell ref="L26:P26"/>
    <mergeCell ref="L21:O21"/>
    <mergeCell ref="L22:P22"/>
    <mergeCell ref="L23:P23"/>
    <mergeCell ref="L24:P24"/>
  </mergeCells>
  <dataValidations count="1">
    <dataValidation type="list" allowBlank="1" showInputMessage="1" showErrorMessage="1" sqref="I7" xr:uid="{00000000-0002-0000-0000-000000000000}">
      <formula1>"Y, N"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7DFC8EE357C548B29B913B6470E9A4" ma:contentTypeVersion="4" ma:contentTypeDescription="Create a new document." ma:contentTypeScope="" ma:versionID="2d48318b5e81bcfd9d87980cc85f7095">
  <xsd:schema xmlns:xsd="http://www.w3.org/2001/XMLSchema" xmlns:xs="http://www.w3.org/2001/XMLSchema" xmlns:p="http://schemas.microsoft.com/office/2006/metadata/properties" xmlns:ns2="59165c9e-09be-4174-b0a6-5d61ea2a4af2" targetNamespace="http://schemas.microsoft.com/office/2006/metadata/properties" ma:root="true" ma:fieldsID="142574ef7ccb88fe18bc1a8f19553a54" ns2:_="">
    <xsd:import namespace="59165c9e-09be-4174-b0a6-5d61ea2a4a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65c9e-09be-4174-b0a6-5d61ea2a4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2B2767-F113-456E-ACDA-F0E8091EC074}">
  <ds:schemaRefs>
    <ds:schemaRef ds:uri="http://schemas.openxmlformats.org/package/2006/metadata/core-properties"/>
    <ds:schemaRef ds:uri="http://www.w3.org/XML/1998/namespace"/>
    <ds:schemaRef ds:uri="59165c9e-09be-4174-b0a6-5d61ea2a4af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F3FE0B-1176-4893-A37D-2DCDAE16C2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BA9ED8-5720-4FF3-BD54-149574F25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165c9e-09be-4174-b0a6-5d61ea2a4a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Visa Loan Scheme Calculator</vt:lpstr>
    </vt:vector>
  </TitlesOfParts>
  <Company>UIS,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 James</dc:creator>
  <cp:lastModifiedBy>Simon Whittle</cp:lastModifiedBy>
  <cp:lastPrinted>2022-01-27T10:11:23Z</cp:lastPrinted>
  <dcterms:created xsi:type="dcterms:W3CDTF">2017-08-07T13:41:33Z</dcterms:created>
  <dcterms:modified xsi:type="dcterms:W3CDTF">2022-01-27T10:11:26Z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0x010100127DFC8EE357C548B29B913B6470E9A4</vt:lpwstr>
  </property>
</Properties>
</file>